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C5" i="1"/>
  <c r="C6" i="1"/>
  <c r="C7" i="1"/>
  <c r="C8" i="1"/>
  <c r="C9" i="1"/>
  <c r="C4" i="1"/>
  <c r="P4" i="1" l="1"/>
  <c r="B9" i="1"/>
  <c r="B8" i="1"/>
  <c r="B7" i="1"/>
  <c r="B6" i="1"/>
  <c r="B5" i="1"/>
  <c r="B4" i="1"/>
  <c r="D6" i="1" l="1"/>
  <c r="D4" i="1"/>
  <c r="D7" i="1"/>
  <c r="D8" i="1"/>
  <c r="D5" i="1"/>
  <c r="D9" i="1"/>
  <c r="P3" i="1" l="1"/>
  <c r="P5" i="1"/>
  <c r="P6" i="1"/>
  <c r="P7" i="1"/>
  <c r="P8" i="1"/>
  <c r="P9" i="1"/>
  <c r="P10" i="1"/>
  <c r="P11" i="1"/>
  <c r="P12" i="1"/>
  <c r="P13" i="1"/>
  <c r="P14" i="1"/>
  <c r="B11" i="1" s="1"/>
</calcChain>
</file>

<file path=xl/sharedStrings.xml><?xml version="1.0" encoding="utf-8"?>
<sst xmlns="http://schemas.openxmlformats.org/spreadsheetml/2006/main" count="217" uniqueCount="76">
  <si>
    <t>Chwilowe obroty silnika [1/min]</t>
  </si>
  <si>
    <t>skrzynia:</t>
  </si>
  <si>
    <t>I</t>
  </si>
  <si>
    <t>II</t>
  </si>
  <si>
    <t>III</t>
  </si>
  <si>
    <t>IV</t>
  </si>
  <si>
    <t>V</t>
  </si>
  <si>
    <t>R</t>
  </si>
  <si>
    <t>9(N)-3,360</t>
  </si>
  <si>
    <t>9(N)-3,650</t>
  </si>
  <si>
    <t>F(H)-3,650</t>
  </si>
  <si>
    <t>F(H)-3,424</t>
  </si>
  <si>
    <t>5(E)-3,163</t>
  </si>
  <si>
    <t>3(C)-3,543</t>
  </si>
  <si>
    <t>3(C)-2,972</t>
  </si>
  <si>
    <t>3(C)-3,580</t>
  </si>
  <si>
    <t>przełożenie dokładne</t>
  </si>
  <si>
    <t>4,44-40/9</t>
  </si>
  <si>
    <t>4,13-33/8</t>
  </si>
  <si>
    <t>3,90-39/10</t>
  </si>
  <si>
    <t>3,89-35/9</t>
  </si>
  <si>
    <t>3,78-34/9</t>
  </si>
  <si>
    <t>3,75-30/8</t>
  </si>
  <si>
    <t>3,75-45/12</t>
  </si>
  <si>
    <t>3,70-37/10</t>
  </si>
  <si>
    <t>3,55-39/11</t>
  </si>
  <si>
    <t>3,44-31/9</t>
  </si>
  <si>
    <t>3,22-29/9</t>
  </si>
  <si>
    <t>3,09-34/11</t>
  </si>
  <si>
    <t>most:</t>
  </si>
  <si>
    <t>Skrzynia biegów:</t>
  </si>
  <si>
    <t>przełożenie I biegu</t>
  </si>
  <si>
    <t>przełożenie R biegu</t>
  </si>
  <si>
    <t>przełożenie II biegu</t>
  </si>
  <si>
    <t>przełożenie III biegu</t>
  </si>
  <si>
    <t>przełożenie IV biegu</t>
  </si>
  <si>
    <t>przełożenie V biegu</t>
  </si>
  <si>
    <t>Dyfer:</t>
  </si>
  <si>
    <t>przełożenie główne w dyfrze</t>
  </si>
  <si>
    <t>WYBIERZ</t>
  </si>
  <si>
    <t>E-1</t>
  </si>
  <si>
    <t>E-2</t>
  </si>
  <si>
    <t>d-2</t>
  </si>
  <si>
    <t>d-3</t>
  </si>
  <si>
    <t>d-4</t>
  </si>
  <si>
    <t>d-5</t>
  </si>
  <si>
    <t>d-6</t>
  </si>
  <si>
    <t>d-7</t>
  </si>
  <si>
    <t>d-8</t>
  </si>
  <si>
    <t>d-1</t>
  </si>
  <si>
    <t>s-1</t>
  </si>
  <si>
    <t>s-2</t>
  </si>
  <si>
    <t>s-3</t>
  </si>
  <si>
    <t>s-4</t>
  </si>
  <si>
    <t>s-5</t>
  </si>
  <si>
    <t>s-6</t>
  </si>
  <si>
    <t>s-7</t>
  </si>
  <si>
    <t>s-8</t>
  </si>
  <si>
    <t/>
  </si>
  <si>
    <t>brak</t>
  </si>
  <si>
    <t>szerokość opony</t>
  </si>
  <si>
    <t>profil opony</t>
  </si>
  <si>
    <t>średnica felgi [cale]</t>
  </si>
  <si>
    <t>szerokość opony [mm]</t>
  </si>
  <si>
    <t>profil opony [%]</t>
  </si>
  <si>
    <t>średnica felgi</t>
  </si>
  <si>
    <t>obwód koła [mm]</t>
  </si>
  <si>
    <t>średnica koła [mm]</t>
  </si>
  <si>
    <t>średnica koła skorygowana [mm]</t>
  </si>
  <si>
    <t>obwód koła skorygowany [mm]</t>
  </si>
  <si>
    <t>obroty koła / min</t>
  </si>
  <si>
    <t>prędkość km/h</t>
  </si>
  <si>
    <t>wysokość bieżnika [mm] (nowe 8,00)</t>
  </si>
  <si>
    <t>obroty koła / km</t>
  </si>
  <si>
    <t>obroty koła / km skorygowane</t>
  </si>
  <si>
    <t>bieżnik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</si>
</sst>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49" fontId="1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164" fontId="0" fillId="0" borderId="1" xfId="0" quotePrefix="1" applyNumberFormat="1" applyBorder="1"/>
    <xf numFmtId="16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2" fontId="0" fillId="0" borderId="2" xfId="0" applyNumberFormat="1" applyBorder="1"/>
    <xf numFmtId="0" fontId="0" fillId="0" borderId="2" xfId="0" applyBorder="1"/>
    <xf numFmtId="0" fontId="0" fillId="0" borderId="1" xfId="0" applyFill="1" applyBorder="1"/>
    <xf numFmtId="0" fontId="0" fillId="0" borderId="3" xfId="0" applyFill="1" applyBorder="1"/>
    <xf numFmtId="2" fontId="0" fillId="2" borderId="1" xfId="0" applyNumberFormat="1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164" fontId="0" fillId="0" borderId="1" xfId="0" quotePrefix="1" applyNumberForma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selection activeCell="B21" sqref="B21"/>
    </sheetView>
  </sheetViews>
  <sheetFormatPr defaultRowHeight="15" x14ac:dyDescent="0.25"/>
  <cols>
    <col min="1" max="1" width="33.140625" customWidth="1"/>
    <col min="2" max="2" width="11.85546875" customWidth="1"/>
    <col min="3" max="3" width="10.5703125" bestFit="1" customWidth="1"/>
    <col min="4" max="4" width="9" bestFit="1" customWidth="1"/>
    <col min="7" max="7" width="10.140625" bestFit="1" customWidth="1"/>
    <col min="15" max="15" width="10.140625" bestFit="1" customWidth="1"/>
    <col min="16" max="16" width="11.7109375" customWidth="1"/>
    <col min="18" max="18" width="10.42578125" customWidth="1"/>
  </cols>
  <sheetData>
    <row r="1" spans="1:21" s="9" customFormat="1" ht="30" customHeight="1" x14ac:dyDescent="0.25">
      <c r="C1" s="10" t="s">
        <v>70</v>
      </c>
      <c r="D1" s="10" t="s">
        <v>71</v>
      </c>
      <c r="G1" s="10" t="s">
        <v>1</v>
      </c>
      <c r="H1" s="10" t="s">
        <v>2</v>
      </c>
      <c r="I1" s="10" t="s">
        <v>3</v>
      </c>
      <c r="J1" s="10" t="s">
        <v>4</v>
      </c>
      <c r="K1" s="10" t="s">
        <v>5</v>
      </c>
      <c r="L1" s="10" t="s">
        <v>6</v>
      </c>
      <c r="M1" s="10" t="s">
        <v>7</v>
      </c>
      <c r="O1" s="10" t="s">
        <v>29</v>
      </c>
      <c r="P1" s="10" t="s">
        <v>16</v>
      </c>
      <c r="R1" s="10" t="s">
        <v>60</v>
      </c>
      <c r="S1" s="10" t="s">
        <v>61</v>
      </c>
      <c r="T1" s="10" t="s">
        <v>65</v>
      </c>
      <c r="U1" s="10" t="s">
        <v>75</v>
      </c>
    </row>
    <row r="2" spans="1:21" x14ac:dyDescent="0.25">
      <c r="A2" s="8" t="s">
        <v>0</v>
      </c>
      <c r="B2" s="14">
        <v>4000</v>
      </c>
      <c r="G2" s="5" t="s">
        <v>39</v>
      </c>
      <c r="H2" s="12" t="s">
        <v>58</v>
      </c>
      <c r="I2" s="12" t="s">
        <v>58</v>
      </c>
      <c r="J2" s="12" t="s">
        <v>58</v>
      </c>
      <c r="K2" s="12" t="s">
        <v>58</v>
      </c>
      <c r="L2" s="12" t="s">
        <v>58</v>
      </c>
      <c r="M2" s="12" t="s">
        <v>58</v>
      </c>
      <c r="O2" s="7" t="s">
        <v>39</v>
      </c>
      <c r="P2" s="12" t="s">
        <v>58</v>
      </c>
      <c r="Q2" s="2"/>
      <c r="R2" s="7" t="s">
        <v>39</v>
      </c>
      <c r="S2" s="16" t="s">
        <v>39</v>
      </c>
      <c r="T2" s="7" t="s">
        <v>39</v>
      </c>
      <c r="U2" s="7" t="s">
        <v>39</v>
      </c>
    </row>
    <row r="3" spans="1:21" x14ac:dyDescent="0.25">
      <c r="A3" s="8" t="s">
        <v>30</v>
      </c>
      <c r="B3" s="14" t="s">
        <v>39</v>
      </c>
      <c r="G3" s="11" t="s">
        <v>13</v>
      </c>
      <c r="H3" s="13">
        <v>3.5430000000000001</v>
      </c>
      <c r="I3" s="13">
        <v>2.3959999999999999</v>
      </c>
      <c r="J3" s="13">
        <v>1.4119999999999999</v>
      </c>
      <c r="K3" s="13">
        <v>1</v>
      </c>
      <c r="L3" s="13" t="s">
        <v>59</v>
      </c>
      <c r="M3" s="13">
        <v>3.9630000000000001</v>
      </c>
      <c r="O3" s="7" t="s">
        <v>17</v>
      </c>
      <c r="P3" s="6">
        <f>40/9</f>
        <v>4.4444444444444446</v>
      </c>
      <c r="Q3" s="2"/>
      <c r="R3" s="8">
        <v>125</v>
      </c>
      <c r="S3" s="17">
        <v>35</v>
      </c>
      <c r="T3" s="8">
        <v>10</v>
      </c>
      <c r="U3" s="18">
        <v>8</v>
      </c>
    </row>
    <row r="4" spans="1:21" x14ac:dyDescent="0.25">
      <c r="A4" s="8" t="s">
        <v>31</v>
      </c>
      <c r="B4" s="15" t="str">
        <f>VLOOKUP(B3,G2:M34,2,0)</f>
        <v/>
      </c>
      <c r="C4" s="21" t="str">
        <f>IFERROR(B$2/(B4*B$11),"B/D")</f>
        <v>B/D</v>
      </c>
      <c r="D4" s="21" t="str">
        <f>IFERROR(0.00006*B$19*C4,"B/D")</f>
        <v>B/D</v>
      </c>
      <c r="G4" s="11" t="s">
        <v>14</v>
      </c>
      <c r="H4" s="13">
        <v>2.972</v>
      </c>
      <c r="I4" s="13">
        <v>2.0099999999999998</v>
      </c>
      <c r="J4" s="13">
        <v>1.397</v>
      </c>
      <c r="K4" s="13">
        <v>1</v>
      </c>
      <c r="L4" s="13" t="s">
        <v>59</v>
      </c>
      <c r="M4" s="13">
        <v>3.3239999999999998</v>
      </c>
      <c r="O4" s="7" t="s">
        <v>18</v>
      </c>
      <c r="P4" s="6">
        <f>33/8</f>
        <v>4.125</v>
      </c>
      <c r="Q4" s="2"/>
      <c r="R4" s="8">
        <v>135</v>
      </c>
      <c r="S4" s="17">
        <v>40</v>
      </c>
      <c r="T4" s="8">
        <v>12</v>
      </c>
      <c r="U4" s="18">
        <v>7</v>
      </c>
    </row>
    <row r="5" spans="1:21" x14ac:dyDescent="0.25">
      <c r="A5" s="8" t="s">
        <v>33</v>
      </c>
      <c r="B5" s="15" t="str">
        <f>VLOOKUP(B3,G2:M34,3,0)</f>
        <v/>
      </c>
      <c r="C5" s="21" t="str">
        <f t="shared" ref="C5:C9" si="0">IFERROR(B$2/(B5*B$11),"B/D")</f>
        <v>B/D</v>
      </c>
      <c r="D5" s="21" t="str">
        <f t="shared" ref="D5:D9" si="1">IFERROR(0.00006*B$19*C5,"B/D")</f>
        <v>B/D</v>
      </c>
      <c r="G5" s="11" t="s">
        <v>15</v>
      </c>
      <c r="H5" s="13">
        <v>3.58</v>
      </c>
      <c r="I5" s="13">
        <v>2.0099999999999998</v>
      </c>
      <c r="J5" s="13">
        <v>1.397</v>
      </c>
      <c r="K5" s="13">
        <v>1</v>
      </c>
      <c r="L5" s="13" t="s">
        <v>59</v>
      </c>
      <c r="M5" s="13">
        <v>3.3239999999999998</v>
      </c>
      <c r="O5" s="7" t="s">
        <v>19</v>
      </c>
      <c r="P5" s="6">
        <f>39/10</f>
        <v>3.9</v>
      </c>
      <c r="Q5" s="2"/>
      <c r="R5" s="8">
        <v>145</v>
      </c>
      <c r="S5" s="17">
        <v>45</v>
      </c>
      <c r="T5" s="8">
        <v>13</v>
      </c>
      <c r="U5" s="18">
        <v>6</v>
      </c>
    </row>
    <row r="6" spans="1:21" x14ac:dyDescent="0.25">
      <c r="A6" s="8" t="s">
        <v>34</v>
      </c>
      <c r="B6" s="15" t="str">
        <f>VLOOKUP(B3,G2:M34,4,0)</f>
        <v/>
      </c>
      <c r="C6" s="21" t="str">
        <f t="shared" si="0"/>
        <v>B/D</v>
      </c>
      <c r="D6" s="21" t="str">
        <f t="shared" si="1"/>
        <v>B/D</v>
      </c>
      <c r="G6" s="11" t="s">
        <v>12</v>
      </c>
      <c r="H6" s="13">
        <v>3.1629999999999998</v>
      </c>
      <c r="I6" s="13">
        <v>1.9419999999999999</v>
      </c>
      <c r="J6" s="13">
        <v>1.4119999999999999</v>
      </c>
      <c r="K6" s="13">
        <v>1</v>
      </c>
      <c r="L6" s="13" t="s">
        <v>59</v>
      </c>
      <c r="M6" s="13">
        <v>3.3460000000000001</v>
      </c>
      <c r="O6" s="7" t="s">
        <v>20</v>
      </c>
      <c r="P6" s="6">
        <f>35/9</f>
        <v>3.8888888888888888</v>
      </c>
      <c r="Q6" s="2"/>
      <c r="R6" s="8">
        <v>155</v>
      </c>
      <c r="S6" s="17">
        <v>50</v>
      </c>
      <c r="T6" s="8">
        <v>14</v>
      </c>
      <c r="U6" s="18">
        <v>5</v>
      </c>
    </row>
    <row r="7" spans="1:21" x14ac:dyDescent="0.25">
      <c r="A7" s="8" t="s">
        <v>35</v>
      </c>
      <c r="B7" s="15" t="str">
        <f>VLOOKUP(B3,G2:M34,5,0)</f>
        <v/>
      </c>
      <c r="C7" s="21" t="str">
        <f t="shared" si="0"/>
        <v>B/D</v>
      </c>
      <c r="D7" s="21" t="str">
        <f t="shared" si="1"/>
        <v>B/D</v>
      </c>
      <c r="G7" s="11" t="s">
        <v>9</v>
      </c>
      <c r="H7" s="13">
        <v>3.65</v>
      </c>
      <c r="I7" s="13">
        <v>1.97</v>
      </c>
      <c r="J7" s="13">
        <v>1.37</v>
      </c>
      <c r="K7" s="13">
        <v>1</v>
      </c>
      <c r="L7" s="13">
        <v>0.81599999999999995</v>
      </c>
      <c r="M7" s="13">
        <v>3.66</v>
      </c>
      <c r="O7" s="7" t="s">
        <v>21</v>
      </c>
      <c r="P7" s="6">
        <f>34/9</f>
        <v>3.7777777777777777</v>
      </c>
      <c r="Q7" s="2"/>
      <c r="R7" s="8">
        <v>165</v>
      </c>
      <c r="S7" s="17">
        <v>55</v>
      </c>
      <c r="T7" s="8">
        <v>15</v>
      </c>
      <c r="U7" s="18">
        <v>4</v>
      </c>
    </row>
    <row r="8" spans="1:21" x14ac:dyDescent="0.25">
      <c r="A8" s="8" t="s">
        <v>36</v>
      </c>
      <c r="B8" s="15" t="str">
        <f>VLOOKUP(B3,G2:M34,6,0)</f>
        <v/>
      </c>
      <c r="C8" s="21" t="str">
        <f t="shared" si="0"/>
        <v>B/D</v>
      </c>
      <c r="D8" s="21" t="str">
        <f t="shared" si="1"/>
        <v>B/D</v>
      </c>
      <c r="G8" s="11" t="s">
        <v>8</v>
      </c>
      <c r="H8" s="13">
        <v>3.36</v>
      </c>
      <c r="I8" s="13">
        <v>1.81</v>
      </c>
      <c r="J8" s="13">
        <v>1.26</v>
      </c>
      <c r="K8" s="13">
        <v>1</v>
      </c>
      <c r="L8" s="13">
        <v>0.82499999999999996</v>
      </c>
      <c r="M8" s="13">
        <v>3.3650000000000002</v>
      </c>
      <c r="O8" s="7" t="s">
        <v>22</v>
      </c>
      <c r="P8" s="6">
        <f>30/8</f>
        <v>3.75</v>
      </c>
      <c r="R8" s="8">
        <v>175</v>
      </c>
      <c r="S8" s="17">
        <v>60</v>
      </c>
      <c r="T8" s="8">
        <v>16</v>
      </c>
      <c r="U8" s="18">
        <v>3</v>
      </c>
    </row>
    <row r="9" spans="1:21" x14ac:dyDescent="0.25">
      <c r="A9" s="8" t="s">
        <v>32</v>
      </c>
      <c r="B9" s="15" t="str">
        <f>VLOOKUP(B3,G2:M34,7,0)</f>
        <v/>
      </c>
      <c r="C9" s="21" t="str">
        <f t="shared" si="0"/>
        <v>B/D</v>
      </c>
      <c r="D9" s="21" t="str">
        <f t="shared" si="1"/>
        <v>B/D</v>
      </c>
      <c r="G9" s="11" t="s">
        <v>40</v>
      </c>
      <c r="H9" s="22" t="s">
        <v>58</v>
      </c>
      <c r="I9" s="22" t="s">
        <v>58</v>
      </c>
      <c r="J9" s="22" t="s">
        <v>58</v>
      </c>
      <c r="K9" s="13">
        <v>1</v>
      </c>
      <c r="L9" s="13" t="s">
        <v>59</v>
      </c>
      <c r="M9" s="22" t="s">
        <v>58</v>
      </c>
      <c r="O9" s="7" t="s">
        <v>23</v>
      </c>
      <c r="P9" s="6">
        <f>45/12</f>
        <v>3.75</v>
      </c>
      <c r="R9" s="8">
        <v>185</v>
      </c>
      <c r="S9" s="17">
        <v>65</v>
      </c>
      <c r="T9" s="8">
        <v>17</v>
      </c>
      <c r="U9" s="19"/>
    </row>
    <row r="10" spans="1:21" x14ac:dyDescent="0.25">
      <c r="A10" s="8" t="s">
        <v>37</v>
      </c>
      <c r="B10" s="14" t="s">
        <v>39</v>
      </c>
      <c r="G10" s="11" t="s">
        <v>41</v>
      </c>
      <c r="H10" s="22" t="s">
        <v>58</v>
      </c>
      <c r="I10" s="22" t="s">
        <v>58</v>
      </c>
      <c r="J10" s="22" t="s">
        <v>58</v>
      </c>
      <c r="K10" s="13">
        <v>1</v>
      </c>
      <c r="L10" s="13" t="s">
        <v>59</v>
      </c>
      <c r="M10" s="22" t="s">
        <v>58</v>
      </c>
      <c r="O10" s="7" t="s">
        <v>24</v>
      </c>
      <c r="P10" s="6">
        <f>37/10</f>
        <v>3.7</v>
      </c>
      <c r="R10" s="8">
        <v>195</v>
      </c>
      <c r="S10" s="17">
        <v>70</v>
      </c>
      <c r="T10" s="8">
        <v>18</v>
      </c>
    </row>
    <row r="11" spans="1:21" x14ac:dyDescent="0.25">
      <c r="A11" s="8" t="s">
        <v>38</v>
      </c>
      <c r="B11" s="15" t="str">
        <f>VLOOKUP(B10,O2:P34,2,0)</f>
        <v/>
      </c>
      <c r="G11" s="11" t="s">
        <v>11</v>
      </c>
      <c r="H11" s="13">
        <v>3.4239999999999999</v>
      </c>
      <c r="I11" s="13">
        <v>1.968</v>
      </c>
      <c r="J11" s="13">
        <v>1.3680000000000001</v>
      </c>
      <c r="K11" s="13">
        <v>1</v>
      </c>
      <c r="L11" s="13" t="s">
        <v>59</v>
      </c>
      <c r="M11" s="13">
        <v>3.79</v>
      </c>
      <c r="O11" s="7" t="s">
        <v>25</v>
      </c>
      <c r="P11" s="6">
        <f>39/11</f>
        <v>3.5454545454545454</v>
      </c>
      <c r="R11" s="8">
        <v>205</v>
      </c>
      <c r="S11" s="17">
        <v>75</v>
      </c>
      <c r="T11" s="8">
        <v>19</v>
      </c>
    </row>
    <row r="12" spans="1:21" x14ac:dyDescent="0.25">
      <c r="A12" s="18" t="s">
        <v>63</v>
      </c>
      <c r="B12" s="14" t="s">
        <v>39</v>
      </c>
      <c r="G12" s="11" t="s">
        <v>10</v>
      </c>
      <c r="H12" s="13">
        <v>3.66</v>
      </c>
      <c r="I12" s="13">
        <v>1.968</v>
      </c>
      <c r="J12" s="13">
        <v>1.3680000000000001</v>
      </c>
      <c r="K12" s="13">
        <v>1</v>
      </c>
      <c r="L12" s="13" t="s">
        <v>59</v>
      </c>
      <c r="M12" s="13">
        <v>3.66</v>
      </c>
      <c r="O12" s="7" t="s">
        <v>26</v>
      </c>
      <c r="P12" s="6">
        <f>31/9</f>
        <v>3.4444444444444446</v>
      </c>
      <c r="R12" s="8">
        <v>215</v>
      </c>
      <c r="S12" s="17">
        <v>80</v>
      </c>
      <c r="T12" s="8">
        <v>20</v>
      </c>
    </row>
    <row r="13" spans="1:21" x14ac:dyDescent="0.25">
      <c r="A13" s="18" t="s">
        <v>64</v>
      </c>
      <c r="B13" s="14" t="s">
        <v>39</v>
      </c>
      <c r="G13" s="11" t="s">
        <v>50</v>
      </c>
      <c r="H13" s="22" t="s">
        <v>58</v>
      </c>
      <c r="I13" s="22" t="s">
        <v>58</v>
      </c>
      <c r="J13" s="22" t="s">
        <v>58</v>
      </c>
      <c r="K13" s="22" t="s">
        <v>58</v>
      </c>
      <c r="L13" s="22" t="s">
        <v>58</v>
      </c>
      <c r="M13" s="22" t="s">
        <v>58</v>
      </c>
      <c r="O13" s="7" t="s">
        <v>27</v>
      </c>
      <c r="P13" s="6">
        <f>29/9</f>
        <v>3.2222222222222223</v>
      </c>
      <c r="R13" s="8">
        <v>225</v>
      </c>
      <c r="T13" s="8">
        <v>21</v>
      </c>
    </row>
    <row r="14" spans="1:21" x14ac:dyDescent="0.25">
      <c r="A14" s="18" t="s">
        <v>62</v>
      </c>
      <c r="B14" s="14" t="s">
        <v>39</v>
      </c>
      <c r="G14" s="11" t="s">
        <v>51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1"/>
      <c r="O14" s="7" t="s">
        <v>28</v>
      </c>
      <c r="P14" s="6">
        <f>34/11</f>
        <v>3.0909090909090908</v>
      </c>
      <c r="R14" s="8">
        <v>235</v>
      </c>
      <c r="T14" s="8">
        <v>22</v>
      </c>
    </row>
    <row r="15" spans="1:21" x14ac:dyDescent="0.25">
      <c r="A15" s="18" t="s">
        <v>72</v>
      </c>
      <c r="B15" s="20">
        <v>8</v>
      </c>
      <c r="G15" s="11" t="s">
        <v>52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2"/>
      <c r="O15" s="7" t="s">
        <v>49</v>
      </c>
      <c r="P15" s="12" t="s">
        <v>58</v>
      </c>
      <c r="R15" s="8">
        <v>245</v>
      </c>
    </row>
    <row r="16" spans="1:21" x14ac:dyDescent="0.25">
      <c r="A16" s="18" t="s">
        <v>67</v>
      </c>
      <c r="B16" s="21" t="str">
        <f>IFERROR((B$14*25.3995)+(2*B$13/100*B$12),"B/D")</f>
        <v>B/D</v>
      </c>
      <c r="G16" s="11" t="s">
        <v>53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2"/>
      <c r="O16" s="7" t="s">
        <v>42</v>
      </c>
      <c r="P16" s="12" t="s">
        <v>58</v>
      </c>
      <c r="R16" s="8">
        <v>255</v>
      </c>
    </row>
    <row r="17" spans="1:18" x14ac:dyDescent="0.25">
      <c r="A17" s="18" t="s">
        <v>68</v>
      </c>
      <c r="B17" s="21" t="str">
        <f>IFERROR((B$14*25.3995)+(0.95*2*B$13/100*B$12)-2*(8-B15),"B/D")</f>
        <v>B/D</v>
      </c>
      <c r="G17" s="11" t="s">
        <v>54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2"/>
      <c r="O17" s="7" t="s">
        <v>43</v>
      </c>
      <c r="P17" s="12" t="s">
        <v>58</v>
      </c>
      <c r="R17" s="8">
        <v>265</v>
      </c>
    </row>
    <row r="18" spans="1:18" x14ac:dyDescent="0.25">
      <c r="A18" s="18" t="s">
        <v>66</v>
      </c>
      <c r="B18" s="21" t="str">
        <f>IFERROR(B$16*PI(),"B/D")</f>
        <v>B/D</v>
      </c>
      <c r="G18" s="11" t="s">
        <v>55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2"/>
      <c r="O18" s="7" t="s">
        <v>44</v>
      </c>
      <c r="P18" s="12" t="s">
        <v>58</v>
      </c>
      <c r="R18" s="8">
        <v>275</v>
      </c>
    </row>
    <row r="19" spans="1:18" x14ac:dyDescent="0.25">
      <c r="A19" s="18" t="s">
        <v>69</v>
      </c>
      <c r="B19" s="21" t="str">
        <f>IFERROR(B$17*PI(),"B/D")</f>
        <v>B/D</v>
      </c>
      <c r="G19" s="11" t="s">
        <v>56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2"/>
      <c r="O19" s="7" t="s">
        <v>45</v>
      </c>
      <c r="P19" s="12" t="s">
        <v>58</v>
      </c>
      <c r="R19" s="8">
        <v>285</v>
      </c>
    </row>
    <row r="20" spans="1:18" x14ac:dyDescent="0.25">
      <c r="A20" s="18" t="s">
        <v>73</v>
      </c>
      <c r="B20" s="21" t="str">
        <f>IFERROR(1000000/B$18,"B/D")</f>
        <v>B/D</v>
      </c>
      <c r="G20" s="4" t="s">
        <v>57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2"/>
      <c r="O20" s="7" t="s">
        <v>46</v>
      </c>
      <c r="P20" s="12" t="s">
        <v>58</v>
      </c>
      <c r="R20" s="8">
        <v>295</v>
      </c>
    </row>
    <row r="21" spans="1:18" x14ac:dyDescent="0.25">
      <c r="A21" s="18" t="s">
        <v>74</v>
      </c>
      <c r="B21" s="21" t="str">
        <f>IFERROR(1000000/B$19,"B/D")</f>
        <v>B/D</v>
      </c>
      <c r="G21" s="4"/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O21" s="7" t="s">
        <v>47</v>
      </c>
      <c r="P21" s="12" t="s">
        <v>58</v>
      </c>
      <c r="R21" s="8">
        <v>305</v>
      </c>
    </row>
    <row r="22" spans="1:18" x14ac:dyDescent="0.25">
      <c r="G22" s="4"/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O22" s="7" t="s">
        <v>48</v>
      </c>
      <c r="P22" s="12" t="s">
        <v>58</v>
      </c>
      <c r="R22" s="8">
        <v>315</v>
      </c>
    </row>
    <row r="23" spans="1:18" x14ac:dyDescent="0.25">
      <c r="G23" s="4"/>
      <c r="H23" s="22" t="s">
        <v>58</v>
      </c>
      <c r="I23" s="22" t="s">
        <v>58</v>
      </c>
      <c r="J23" s="22" t="s">
        <v>58</v>
      </c>
      <c r="K23" s="22" t="s">
        <v>58</v>
      </c>
      <c r="L23" s="22" t="s">
        <v>58</v>
      </c>
      <c r="M23" s="22" t="s">
        <v>58</v>
      </c>
      <c r="O23" s="7"/>
      <c r="P23" s="12" t="s">
        <v>58</v>
      </c>
      <c r="R23" s="8">
        <v>325</v>
      </c>
    </row>
    <row r="24" spans="1:18" x14ac:dyDescent="0.25">
      <c r="G24" s="4"/>
      <c r="H24" s="22" t="s">
        <v>58</v>
      </c>
      <c r="I24" s="22" t="s">
        <v>58</v>
      </c>
      <c r="J24" s="22" t="s">
        <v>58</v>
      </c>
      <c r="K24" s="22" t="s">
        <v>58</v>
      </c>
      <c r="L24" s="22" t="s">
        <v>58</v>
      </c>
      <c r="M24" s="22" t="s">
        <v>58</v>
      </c>
      <c r="O24" s="7"/>
      <c r="P24" s="12" t="s">
        <v>58</v>
      </c>
      <c r="R24" s="8">
        <v>335</v>
      </c>
    </row>
    <row r="25" spans="1:18" x14ac:dyDescent="0.25">
      <c r="G25" s="4"/>
      <c r="H25" s="22" t="s">
        <v>58</v>
      </c>
      <c r="I25" s="22" t="s">
        <v>58</v>
      </c>
      <c r="J25" s="22" t="s">
        <v>58</v>
      </c>
      <c r="K25" s="22" t="s">
        <v>58</v>
      </c>
      <c r="L25" s="22" t="s">
        <v>58</v>
      </c>
      <c r="M25" s="22" t="s">
        <v>58</v>
      </c>
      <c r="O25" s="7"/>
      <c r="P25" s="12" t="s">
        <v>58</v>
      </c>
      <c r="R25" s="8">
        <v>345</v>
      </c>
    </row>
    <row r="26" spans="1:18" x14ac:dyDescent="0.25">
      <c r="G26" s="4"/>
      <c r="H26" s="22" t="s">
        <v>58</v>
      </c>
      <c r="I26" s="22" t="s">
        <v>58</v>
      </c>
      <c r="J26" s="22" t="s">
        <v>58</v>
      </c>
      <c r="K26" s="22" t="s">
        <v>58</v>
      </c>
      <c r="L26" s="22" t="s">
        <v>58</v>
      </c>
      <c r="M26" s="22" t="s">
        <v>58</v>
      </c>
      <c r="O26" s="8"/>
      <c r="P26" s="12" t="s">
        <v>58</v>
      </c>
      <c r="R26" s="8">
        <v>355</v>
      </c>
    </row>
    <row r="27" spans="1:18" x14ac:dyDescent="0.25">
      <c r="G27" s="4"/>
      <c r="H27" s="22" t="s">
        <v>58</v>
      </c>
      <c r="I27" s="22" t="s">
        <v>58</v>
      </c>
      <c r="J27" s="22" t="s">
        <v>58</v>
      </c>
      <c r="K27" s="22" t="s">
        <v>58</v>
      </c>
      <c r="L27" s="22" t="s">
        <v>58</v>
      </c>
      <c r="M27" s="22" t="s">
        <v>58</v>
      </c>
      <c r="O27" s="8"/>
      <c r="P27" s="12" t="s">
        <v>58</v>
      </c>
    </row>
    <row r="28" spans="1:18" x14ac:dyDescent="0.25">
      <c r="G28" s="4"/>
      <c r="H28" s="22" t="s">
        <v>58</v>
      </c>
      <c r="I28" s="22" t="s">
        <v>58</v>
      </c>
      <c r="J28" s="22" t="s">
        <v>58</v>
      </c>
      <c r="K28" s="22" t="s">
        <v>58</v>
      </c>
      <c r="L28" s="22" t="s">
        <v>58</v>
      </c>
      <c r="M28" s="22" t="s">
        <v>58</v>
      </c>
      <c r="O28" s="8"/>
      <c r="P28" s="12" t="s">
        <v>58</v>
      </c>
    </row>
    <row r="29" spans="1:18" x14ac:dyDescent="0.25">
      <c r="G29" s="4"/>
      <c r="H29" s="6"/>
      <c r="I29" s="6"/>
      <c r="J29" s="6"/>
      <c r="K29" s="6"/>
      <c r="L29" s="6"/>
      <c r="M29" s="6"/>
      <c r="O29" s="8"/>
      <c r="P29" s="6"/>
    </row>
    <row r="30" spans="1:18" x14ac:dyDescent="0.25">
      <c r="G30" s="4"/>
      <c r="H30" s="6"/>
      <c r="I30" s="6"/>
      <c r="J30" s="6"/>
      <c r="K30" s="6"/>
      <c r="L30" s="6"/>
      <c r="M30" s="6"/>
      <c r="O30" s="8"/>
      <c r="P30" s="6"/>
    </row>
    <row r="31" spans="1:18" x14ac:dyDescent="0.25">
      <c r="G31" s="4"/>
      <c r="H31" s="6"/>
      <c r="I31" s="6"/>
      <c r="J31" s="6"/>
      <c r="K31" s="6"/>
      <c r="L31" s="6"/>
      <c r="M31" s="6"/>
      <c r="O31" s="8"/>
      <c r="P31" s="8"/>
    </row>
    <row r="32" spans="1:18" x14ac:dyDescent="0.25">
      <c r="G32" s="4"/>
      <c r="H32" s="6"/>
      <c r="I32" s="6"/>
      <c r="J32" s="6"/>
      <c r="K32" s="6"/>
      <c r="L32" s="6"/>
      <c r="M32" s="6"/>
      <c r="O32" s="8"/>
      <c r="P32" s="8"/>
    </row>
    <row r="33" spans="7:16" x14ac:dyDescent="0.25">
      <c r="G33" s="4"/>
      <c r="H33" s="6"/>
      <c r="I33" s="6"/>
      <c r="J33" s="6"/>
      <c r="K33" s="6"/>
      <c r="L33" s="6"/>
      <c r="M33" s="6"/>
      <c r="O33" s="8"/>
      <c r="P33" s="8"/>
    </row>
    <row r="34" spans="7:16" x14ac:dyDescent="0.25">
      <c r="G34" s="4"/>
      <c r="H34" s="6"/>
      <c r="I34" s="6"/>
      <c r="J34" s="6"/>
      <c r="K34" s="6"/>
      <c r="L34" s="6"/>
      <c r="M34" s="6"/>
      <c r="O34" s="8"/>
      <c r="P34" s="8"/>
    </row>
    <row r="35" spans="7:16" x14ac:dyDescent="0.25">
      <c r="G35" s="3"/>
      <c r="H35" s="2"/>
      <c r="I35" s="2"/>
      <c r="J35" s="2"/>
      <c r="K35" s="2"/>
      <c r="L35" s="2"/>
      <c r="M35" s="2"/>
    </row>
    <row r="36" spans="7:16" x14ac:dyDescent="0.25">
      <c r="G36" s="3"/>
      <c r="H36" s="2"/>
      <c r="I36" s="2"/>
      <c r="J36" s="2"/>
      <c r="K36" s="2"/>
      <c r="L36" s="2">
        <v>0.82499999999999996</v>
      </c>
      <c r="M36" s="2"/>
    </row>
    <row r="37" spans="7:16" x14ac:dyDescent="0.25">
      <c r="G37" s="3"/>
      <c r="H37" s="2"/>
      <c r="I37" s="2"/>
      <c r="J37" s="2"/>
      <c r="K37" s="2"/>
      <c r="L37" s="2"/>
      <c r="M37" s="2"/>
    </row>
    <row r="38" spans="7:16" x14ac:dyDescent="0.25">
      <c r="G38" s="3"/>
      <c r="H38" s="2"/>
      <c r="I38" s="2"/>
      <c r="J38" s="2"/>
      <c r="K38" s="2"/>
      <c r="L38" s="2"/>
      <c r="M38" s="2"/>
    </row>
    <row r="39" spans="7:16" x14ac:dyDescent="0.25">
      <c r="G39" s="3"/>
    </row>
  </sheetData>
  <dataValidations count="6">
    <dataValidation type="list" allowBlank="1" showInputMessage="1" showErrorMessage="1" sqref="B3">
      <formula1>$G$2:$G$20</formula1>
    </dataValidation>
    <dataValidation type="list" allowBlank="1" showInputMessage="1" showErrorMessage="1" sqref="B10">
      <formula1>$O$2:$O$22</formula1>
    </dataValidation>
    <dataValidation type="list" allowBlank="1" showInputMessage="1" showErrorMessage="1" sqref="B12">
      <formula1>$R$2:$R$26</formula1>
    </dataValidation>
    <dataValidation type="list" allowBlank="1" showInputMessage="1" showErrorMessage="1" sqref="B13">
      <formula1>$S$2:$S$12</formula1>
    </dataValidation>
    <dataValidation type="list" allowBlank="1" showInputMessage="1" showErrorMessage="1" sqref="B14">
      <formula1>$T$2:$T$14</formula1>
    </dataValidation>
    <dataValidation type="list" allowBlank="1" showInputMessage="1" showErrorMessage="1" sqref="B15">
      <formula1>$U$2:$U$8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2024-03-21T20:18:53Z</dcterms:created>
  <dcterms:modified xsi:type="dcterms:W3CDTF">2024-03-21T22:40:59Z</dcterms:modified>
</cp:coreProperties>
</file>